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F3E93C30-6AD7-48DF-99F9-85499DCEED16}" xr6:coauthVersionLast="38" xr6:coauthVersionMax="38" xr10:uidLastSave="{00000000-0000-0000-0000-000000000000}"/>
  <bookViews>
    <workbookView xWindow="30690" yWindow="0" windowWidth="19470" windowHeight="7830" activeTab="1" xr2:uid="{5FEA7FEB-661B-4A8F-AC98-66122FAD9CA0}"/>
  </bookViews>
  <sheets>
    <sheet name="How To Use" sheetId="6" r:id="rId1"/>
    <sheet name="Target-Environment Parameters" sheetId="5" r:id="rId2"/>
    <sheet name="Calculator" sheetId="1" r:id="rId3"/>
    <sheet name="Target Database" sheetId="3" r:id="rId4"/>
    <sheet name="Standard Atmosphere" sheetId="4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4" i="6" l="1"/>
  <c r="B64" i="5" l="1"/>
  <c r="B16" i="5"/>
  <c r="B98" i="4" l="1"/>
  <c r="B97" i="4"/>
  <c r="B27" i="5"/>
  <c r="F27" i="5" s="1"/>
  <c r="H27" i="5" s="1"/>
  <c r="F21" i="5"/>
  <c r="D21" i="5"/>
  <c r="B22" i="5" s="1"/>
  <c r="D10" i="5"/>
  <c r="D11" i="5"/>
  <c r="D27" i="5" l="1"/>
  <c r="B30" i="5" s="1"/>
  <c r="B31" i="5" s="1"/>
  <c r="E23" i="3" l="1"/>
  <c r="C12" i="3"/>
  <c r="E21" i="3" l="1"/>
  <c r="E9" i="1" l="1"/>
  <c r="B14" i="1" s="1"/>
  <c r="C10" i="3" l="1"/>
  <c r="E19" i="3"/>
  <c r="C19" i="3"/>
  <c r="D98" i="4"/>
  <c r="B10" i="4"/>
  <c r="D10" i="4" s="1"/>
  <c r="D9" i="4"/>
  <c r="B36" i="4" l="1"/>
  <c r="B23" i="4"/>
  <c r="B80" i="4"/>
  <c r="B82" i="4" l="1"/>
  <c r="B37" i="4"/>
  <c r="B81" i="4"/>
  <c r="D23" i="4"/>
  <c r="A62" i="4"/>
  <c r="B84" i="4" s="1"/>
  <c r="D8" i="5" s="1"/>
  <c r="D36" i="4"/>
  <c r="D37" i="4" s="1"/>
  <c r="D38" i="4" s="1"/>
  <c r="D82" i="4" l="1"/>
  <c r="B65" i="5"/>
  <c r="B67" i="5" s="1"/>
  <c r="D97" i="4"/>
  <c r="F97" i="4" s="1"/>
  <c r="E82" i="4"/>
  <c r="B24" i="4"/>
  <c r="D49" i="4" s="1"/>
  <c r="B49" i="4" s="1"/>
  <c r="B83" i="4" s="1"/>
  <c r="B71" i="4"/>
  <c r="D25" i="4"/>
  <c r="D24" i="4" s="1"/>
  <c r="E81" i="4"/>
  <c r="B99" i="4" s="1"/>
  <c r="B5" i="5" s="1"/>
  <c r="D81" i="4"/>
  <c r="B85" i="4" l="1"/>
  <c r="B72" i="4"/>
  <c r="D99" i="4"/>
  <c r="B100" i="4"/>
  <c r="B15" i="5" s="1"/>
  <c r="D100" i="4" l="1"/>
  <c r="D101" i="4" s="1"/>
  <c r="D102" i="4" s="1"/>
</calcChain>
</file>

<file path=xl/sharedStrings.xml><?xml version="1.0" encoding="utf-8"?>
<sst xmlns="http://schemas.openxmlformats.org/spreadsheetml/2006/main" count="270" uniqueCount="209">
  <si>
    <t>Sqm</t>
  </si>
  <si>
    <t>SqCm</t>
  </si>
  <si>
    <t>Kelvin</t>
  </si>
  <si>
    <t>Deg Celcius</t>
  </si>
  <si>
    <t>Area</t>
  </si>
  <si>
    <t>Emmisivity (Em)</t>
  </si>
  <si>
    <t>Area (Assume Circular Aperture)</t>
  </si>
  <si>
    <t>Diameter</t>
  </si>
  <si>
    <t>cm</t>
  </si>
  <si>
    <t>m</t>
  </si>
  <si>
    <t>In</t>
  </si>
  <si>
    <t xml:space="preserve">Aperture Area </t>
  </si>
  <si>
    <t xml:space="preserve">First Wavelength Cutoff </t>
  </si>
  <si>
    <t>μM</t>
  </si>
  <si>
    <t>Second Wavelength Cutoff</t>
  </si>
  <si>
    <t>Average Wavelength</t>
  </si>
  <si>
    <t>^5</t>
  </si>
  <si>
    <t>*Tt</t>
  </si>
  <si>
    <t>exp</t>
  </si>
  <si>
    <t>Calculated Parameters</t>
  </si>
  <si>
    <r>
      <t>W cm</t>
    </r>
    <r>
      <rPr>
        <vertAlign val="superscript"/>
        <sz val="10"/>
        <rFont val="Arial"/>
        <family val="2"/>
      </rPr>
      <t xml:space="preserve">-2 </t>
    </r>
    <r>
      <rPr>
        <sz val="10"/>
        <rFont val="Arial"/>
        <family val="2"/>
      </rPr>
      <t>sr</t>
    </r>
    <r>
      <rPr>
        <vertAlign val="superscript"/>
        <sz val="10"/>
        <rFont val="Arial"/>
        <family val="2"/>
      </rPr>
      <t xml:space="preserve">2 </t>
    </r>
    <r>
      <rPr>
        <sz val="10"/>
        <rFont val="Arial"/>
        <family val="2"/>
      </rPr>
      <t>μm</t>
    </r>
    <r>
      <rPr>
        <vertAlign val="superscript"/>
        <sz val="10"/>
        <rFont val="Arial"/>
        <family val="2"/>
      </rPr>
      <t>-1</t>
    </r>
  </si>
  <si>
    <t xml:space="preserve">Target Radiant Intensity </t>
  </si>
  <si>
    <t>W/sr</t>
  </si>
  <si>
    <t>Target Exposed Planform Area (At)</t>
  </si>
  <si>
    <t>Reference Range</t>
  </si>
  <si>
    <t>Km</t>
  </si>
  <si>
    <t>sqm</t>
  </si>
  <si>
    <t>C</t>
  </si>
  <si>
    <t>K</t>
  </si>
  <si>
    <t>F</t>
  </si>
  <si>
    <t>R</t>
  </si>
  <si>
    <t>Reference Spectral Radiance</t>
  </si>
  <si>
    <t>Su-27M</t>
  </si>
  <si>
    <t>The reference value for Su-27M Which should be the same as rest of Sukhoi family except Su-34</t>
  </si>
  <si>
    <t xml:space="preserve">Altitude of </t>
  </si>
  <si>
    <t>This will make difference between frontal and engine/rear</t>
  </si>
  <si>
    <t xml:space="preserve">The engine spectral radiance and later Radiant intensity will assume only the engine that matters instead of whole area. </t>
  </si>
  <si>
    <t xml:space="preserve">This assumption is made from simple observation that fighter engine jet is usually just as big as the nacelle or occupy the whole rear view. </t>
  </si>
  <si>
    <t>Valid till ~22000m</t>
  </si>
  <si>
    <t>Meters</t>
  </si>
  <si>
    <t>Feet</t>
  </si>
  <si>
    <t>Input Altitude</t>
  </si>
  <si>
    <t>Standard Values</t>
  </si>
  <si>
    <t>Temperature</t>
  </si>
  <si>
    <t>T/To</t>
  </si>
  <si>
    <t>Pressure</t>
  </si>
  <si>
    <t>ATM</t>
  </si>
  <si>
    <t>Pascal</t>
  </si>
  <si>
    <t>Psf</t>
  </si>
  <si>
    <t>kPA</t>
  </si>
  <si>
    <t>Psi</t>
  </si>
  <si>
    <t>MpA</t>
  </si>
  <si>
    <t>Density (rho)</t>
  </si>
  <si>
    <t>rho/rhoO</t>
  </si>
  <si>
    <t>Density</t>
  </si>
  <si>
    <t>Kg/m^3</t>
  </si>
  <si>
    <t>Speed Of Sound (a)</t>
  </si>
  <si>
    <t>m/s</t>
  </si>
  <si>
    <t>Viscosity (mu)</t>
  </si>
  <si>
    <t>mu/muo</t>
  </si>
  <si>
    <t>Viscosity</t>
  </si>
  <si>
    <t>Ns/m^2</t>
  </si>
  <si>
    <t>New Table :D</t>
  </si>
  <si>
    <t xml:space="preserve">At Altitude of </t>
  </si>
  <si>
    <t>Ratio with STD atmosphere</t>
  </si>
  <si>
    <t>Atm</t>
  </si>
  <si>
    <t>Air Density</t>
  </si>
  <si>
    <t>Kg/M^3</t>
  </si>
  <si>
    <t>Speed of Sound</t>
  </si>
  <si>
    <t>AIRCRAFT TARGET CHARACTERISTICS</t>
  </si>
  <si>
    <t>Aircraft Velocity</t>
  </si>
  <si>
    <t>MACH</t>
  </si>
  <si>
    <t>Kph</t>
  </si>
  <si>
    <t>Altitude</t>
  </si>
  <si>
    <t>meters</t>
  </si>
  <si>
    <t>Ambient Temperature</t>
  </si>
  <si>
    <t>Stagnation Temperature</t>
  </si>
  <si>
    <t>Fahrenheit</t>
  </si>
  <si>
    <t>Frontal</t>
  </si>
  <si>
    <t>Speed</t>
  </si>
  <si>
    <t>M</t>
  </si>
  <si>
    <t>Area (sqm)</t>
  </si>
  <si>
    <t>Engine</t>
  </si>
  <si>
    <t>Area (sqcm)</t>
  </si>
  <si>
    <t>Number of Engines</t>
  </si>
  <si>
    <t>Temp (K)</t>
  </si>
  <si>
    <t>The sensor used is approximated to be working in 8-12 Um</t>
  </si>
  <si>
    <t>Emmissivity Coefficient is 0,6</t>
  </si>
  <si>
    <t>Stagnation Temp (K)</t>
  </si>
  <si>
    <t>Total exposed area (Sqcm)</t>
  </si>
  <si>
    <t>km</t>
  </si>
  <si>
    <t>Su-27M-Afterburner</t>
  </si>
  <si>
    <t>Radiant Intensity (W/str)</t>
  </si>
  <si>
    <t>Radiant intensity (W/str)</t>
  </si>
  <si>
    <t>Radiant Intensity of Target</t>
  </si>
  <si>
    <t>The Detector Parameter</t>
  </si>
  <si>
    <t>IRST Aperture Area</t>
  </si>
  <si>
    <t>Estimates of target  properties</t>
  </si>
  <si>
    <t>This assume frontal aspect, or other aspect where engine is not directly visible</t>
  </si>
  <si>
    <t>Range based on new parameter</t>
  </si>
  <si>
    <t>IRST Aperture Diameter</t>
  </si>
  <si>
    <t>Detector operational Wavelength</t>
  </si>
  <si>
    <t>F-22 Raptor (12000 m)</t>
  </si>
  <si>
    <t>F-22 Raptor Sea Level (1000m)</t>
  </si>
  <si>
    <t>Target Spectral Radiance</t>
  </si>
  <si>
    <t>F-15 (PW-229 engine)-Full mil</t>
  </si>
  <si>
    <t>F-15 (PW-229 engine)-Afterburner</t>
  </si>
  <si>
    <t>F-22 (PW-F119)-Full mil</t>
  </si>
  <si>
    <t>F-22Raptor (12000 m)-supercruise M 1.6</t>
  </si>
  <si>
    <t>Micron</t>
  </si>
  <si>
    <t>Detection Range of the IRST based on new parameter</t>
  </si>
  <si>
    <t>This section is to make appropriate calculations and adjustment on targets and detector parameters</t>
  </si>
  <si>
    <t>Target Radiant Intensity</t>
  </si>
  <si>
    <t>Detection range of IRST</t>
  </si>
  <si>
    <t>Reference Value</t>
  </si>
  <si>
    <t xml:space="preserve">The result of this section can be used to adjust the reference or new value </t>
  </si>
  <si>
    <t>Reference Atmospheric Transmittance</t>
  </si>
  <si>
    <t>New Atmospheric transmittance</t>
  </si>
  <si>
    <t>Atmospheric Transmittance</t>
  </si>
  <si>
    <t>Reference pressure (sea level)</t>
  </si>
  <si>
    <t>P/P0</t>
  </si>
  <si>
    <t>Reference Transmittance of wavelength</t>
  </si>
  <si>
    <t>Notes</t>
  </si>
  <si>
    <t>See chart above for the transmittance value over sea level path</t>
  </si>
  <si>
    <t>Target altitude</t>
  </si>
  <si>
    <t>Atmospheric transmittance on horizontal path</t>
  </si>
  <si>
    <t>Pressure at target altitude</t>
  </si>
  <si>
    <t>Estimated Target skin Temperature (Tt)</t>
  </si>
  <si>
    <t>Estimated target emitted wavelength</t>
  </si>
  <si>
    <t>Su-27M/Su-30 Sea Level(1000m)</t>
  </si>
  <si>
    <t>Su-27M/Su-30 (12000m)</t>
  </si>
  <si>
    <t xml:space="preserve">Dhimas Afihandarin-2018.   </t>
  </si>
  <si>
    <t>Welcome to simple IRST spreadsheet, this will help you to approximate detection range of an IRST set</t>
  </si>
  <si>
    <t>based on available data, such as range and possibly optics diameter.  Alot of assumption however should be made</t>
  </si>
  <si>
    <t>given the scarcity of data or even practice on calculating range. Each manufacturer may have different target and</t>
  </si>
  <si>
    <t>different conditions for their testing</t>
  </si>
  <si>
    <t xml:space="preserve">The following would detail about the procedure that i use to start approximating </t>
  </si>
  <si>
    <t>1.Finding relevant data and establish the assumption for both target and the IRST sensor.</t>
  </si>
  <si>
    <t>2.Estimate the target signature (Radiant intensity) In the working band of the IRST</t>
  </si>
  <si>
    <t>4.Calculate the new detection range based on the reference value established in num 1 procedure</t>
  </si>
  <si>
    <t xml:space="preserve">superflankereva@hotmail.com </t>
  </si>
  <si>
    <t>Here will be detailed a bit about the procedures :</t>
  </si>
  <si>
    <t xml:space="preserve">1.Finding relevant data and establish the assumption for both target and IRST sensor. </t>
  </si>
  <si>
    <t xml:space="preserve">This part revolves around finding the relevant data on IRST and defining target parameters. </t>
  </si>
  <si>
    <t xml:space="preserve">The information is often extremely scarcy, thus it is necessary to make assumptions. </t>
  </si>
  <si>
    <t>Range</t>
  </si>
  <si>
    <t>Frontal aspect : 50 Km</t>
  </si>
  <si>
    <t>Rear aspect : 90 Km</t>
  </si>
  <si>
    <t>Working waveband : about 8-12 micron</t>
  </si>
  <si>
    <t xml:space="preserve">Reference target : Su-30. </t>
  </si>
  <si>
    <t>Here we will use one example of OLS-35. Which have following data :</t>
  </si>
  <si>
    <t xml:space="preserve">Now we wish to calculate the range of the OLS  against an F-22 Raptor </t>
  </si>
  <si>
    <t>Since the radiant intensity or the intensity of the target of an IRST system related directly to the exposed area</t>
  </si>
  <si>
    <t>and temperature of the target, those two variables are of paramount importance.  Thus we will start by first making a</t>
  </si>
  <si>
    <t xml:space="preserve">relevant measurement to obtain the area of both target and the reference system.  </t>
  </si>
  <si>
    <t xml:space="preserve">Measurement of frontal area can be done with any method. The one i use here however is based on practicality. </t>
  </si>
  <si>
    <t>3.Estimate the environment factor (Transmittance of working waveband of the IRST)</t>
  </si>
  <si>
    <t>The frontal area is assumed to be the biggest area at the line of sight of the fuselage as follows :</t>
  </si>
  <si>
    <t>and the assumption that it is the largest area that will deliver most of the IR signal.  Another reason is that measurement can be done</t>
  </si>
  <si>
    <t xml:space="preserve">with relative of ease. Including the wing and tail thickness are possible but this might not always be possible, especially if source of </t>
  </si>
  <si>
    <t xml:space="preserve">the imagery have low resolution. </t>
  </si>
  <si>
    <t>This is the baseline model of Sukhoi aircraft, the model of Su-27UB is selected. As you see i deliberately only use the width and height of the fuselage. This mainly due to sake of simplicity</t>
  </si>
  <si>
    <t xml:space="preserve">The resulting measurement yield frontal projected area of </t>
  </si>
  <si>
    <t>for Sukhoi target</t>
  </si>
  <si>
    <t>Same procedure must also be repeated for the F-22 raptor  which yield measurement result of : 5,8114 sqm</t>
  </si>
  <si>
    <t>After defining the area, the user can later specify flight condition and misc properties of target in the "Target-Environment Parameters"</t>
  </si>
  <si>
    <t xml:space="preserve">Since the baseline IRST data contain the rearward aspect,  it also have to be considered too. Measuring of the area however can be simpler with assumption that </t>
  </si>
  <si>
    <t>the engine would contribute to most of the signature and the IRST basically "snoop in" to the jetpipe.  Thus the area of concern is essentially the engine's maximum</t>
  </si>
  <si>
    <t xml:space="preserve">diameter, if the aircraft have two engines the area can be clumped together. This of course assume the engine would be in same mode of operation. </t>
  </si>
  <si>
    <t>Constants (dont change)</t>
  </si>
  <si>
    <t>Stagnation Temperature (est of skin temperature)</t>
  </si>
  <si>
    <t>The second step in the IRST range approximation. Based on the num 1 step, we now have data to begin estimate target's infra red signature in the working band of</t>
  </si>
  <si>
    <t>the IRST.  This is done in the "Target-Environment Parameters" Which contain the required calculator to start the estimate.</t>
  </si>
  <si>
    <t>Here at the sheet above, you can start inputting variables like your flight speed, altitude, target exposed area and the emmissivity.  The recommended way to do it.</t>
  </si>
  <si>
    <t>assuming that you wish to estimate target skin temperature (Not engine) Is by first input the target altitude, speed and the exposed planform area.  The emmissivity variable has been</t>
  </si>
  <si>
    <t>selected to be typical of aircraft paint, with some light gray color. You can change it to whatever suits you.  Lighter color/polish will tend to have lower emmissivity but highly reflective</t>
  </si>
  <si>
    <t>and vice versa.  Should you wish to estimate engine jetpipe emmission, you can just directly input the temperature of the exhaust temperature (The exhaust temperature here is defined right after</t>
  </si>
  <si>
    <t xml:space="preserve">Turbine outlet)  The emmissivity parameter is by default 0.6 as i dont really know what value i should use, probably 0.9 or more as the aircraft engine inside are clearly not reflective. </t>
  </si>
  <si>
    <t xml:space="preserve">The second thing after inputting the necessary variable would be defining the working waveband of the IRST at "Detector Operational Wavelength" Here you can define the first cutoff of operating </t>
  </si>
  <si>
    <t xml:space="preserve">Say 4-12 (covering both mid and long wave IR) </t>
  </si>
  <si>
    <t>wavelength  and the 2nd one.  OLS-35 is known to have operating wavelength of 8-12 micron. Thus 8 is the first cutoff while the 2nd cutoff would be 12.  Same if the detector operates in more wavelength</t>
  </si>
  <si>
    <t>After doing so you have finished the calculation of target's infra red signature.  Which will brought us to the 3rd step in our procedure</t>
  </si>
  <si>
    <t>Another important factor we need to established is the atmospheric transmittance on your IRST's working band. In the previous sheet we have</t>
  </si>
  <si>
    <t>established average working value of the IRST to be 10. That we will use to calculate our value of atmospheric transmittance. This is important as</t>
  </si>
  <si>
    <t>performance of IRST or any other infra red system relies heavily on propagation medium.</t>
  </si>
  <si>
    <t>The simple sheet here will help you to estimate probable transmission of IR wavelength of your respective IRST based on altitude and reference value.</t>
  </si>
  <si>
    <t>The way you do that is just see the chart,  draw value of your IRST working wavelength and put it in "Reference Transmittance of Wavelength"</t>
  </si>
  <si>
    <t xml:space="preserve">The chart is based on sea level altitude.  The target altitude is assumed to be the same as the one you inputted in the Target radiant intensity </t>
  </si>
  <si>
    <t>Finally the value can be read on the coloum "Atmospheric transmittance on horizontal path".</t>
  </si>
  <si>
    <t>This however is useful when you want to assess performance of your IRST in different altitude, if its on same altitude the transmittance value</t>
  </si>
  <si>
    <t xml:space="preserve">be it reference or the one you are estimate would be the same. </t>
  </si>
  <si>
    <t>The limitation of the sheet however is evident, that it discounts many variables like aerosols, gases and things like ground albedo.  If you interested</t>
  </si>
  <si>
    <t>to make better calculation you can use MODTRAN, web application.  It does have limitations BUT very powerful.</t>
  </si>
  <si>
    <t>I might detail how to use it in separate section or in forum posts where i uploaded this sheet.</t>
  </si>
  <si>
    <t>Another underlying assumption is that the Reference IRST will have reference altitude of 12000 m. With atmospheric transmittance assumed to be high</t>
  </si>
  <si>
    <t xml:space="preserve">like 90-100% should any other value is known/assumed it could be used as substitute for the reference. </t>
  </si>
  <si>
    <t>This is the final step namely the range calculation. From step 1-3 we have successfully (hopefully) established the following :</t>
  </si>
  <si>
    <t>Reference Value for OLS-35 Data.</t>
  </si>
  <si>
    <t>Above value is valid for 12000 meter.  Now we wish to estimate the performance of the same IRST but against F-22 Raptor.  At same altitude and cruising at M 0.9</t>
  </si>
  <si>
    <t>Repeating the step 1-3 for Raptor yield the following data :</t>
  </si>
  <si>
    <t>Then we can read the range column and we see range against the F-22 Raptor cruising at M 0.9 at altitude of 12000 m is about 43 km</t>
  </si>
  <si>
    <t xml:space="preserve">How about if we wish to estimate the range against supercruising F-22 raptor at M 1.6 ? We repeat the 1-3 procedure and found that </t>
  </si>
  <si>
    <t xml:space="preserve">the emitted radiant intensity would be about 567.33 W/sr. We enter the new value of the radiant intensity to the appropriate coloum </t>
  </si>
  <si>
    <t>and found the detection range to be about  86,39 km</t>
  </si>
  <si>
    <t>Now one might wish to make a "what if" scenario on "how about if i can enlarge the IRST how far it can enhance range ?" one can simply</t>
  </si>
  <si>
    <t>change the IRST aperture diameter at "IRST Aperture Diameter" coloumn to the value of his desire. In this scenario we choose to "enlarge" the</t>
  </si>
  <si>
    <t xml:space="preserve">OLS-35 optical aperture to 40 cm (0.4 m) and as we see we have range of 172 Km against F-22 Raptor on Supercruise and 86 km for non supercruise </t>
  </si>
  <si>
    <t xml:space="preserve">mode respectively. </t>
  </si>
  <si>
    <t>Contact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</si>
</sst>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"/>
    <numFmt numFmtId="166" formatCode="0.000"/>
  </numFmts>
  <fonts count="10" x14ac:knownFonts="1">
    <font>
      <sz val="11"/>
      <color theme="1"/>
      <name val="Calibri"/>
      <family val="2"/>
      <charset val="1"/>
      <scheme val="minor"/>
    </font>
    <font>
      <b/>
      <sz val="10"/>
      <name val="Arial"/>
      <family val="2"/>
    </font>
    <font>
      <vertAlign val="superscript"/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u/>
      <sz val="11"/>
      <color theme="10"/>
      <name val="Calibri"/>
      <family val="2"/>
      <charset val="1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8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/>
    <xf numFmtId="0" fontId="4" fillId="0" borderId="0" xfId="0" applyFont="1"/>
    <xf numFmtId="0" fontId="5" fillId="0" borderId="0" xfId="0" applyFont="1"/>
    <xf numFmtId="165" fontId="0" fillId="0" borderId="0" xfId="0" applyNumberFormat="1"/>
    <xf numFmtId="0" fontId="6" fillId="0" borderId="0" xfId="0" applyFont="1"/>
    <xf numFmtId="166" fontId="0" fillId="0" borderId="0" xfId="0" applyNumberFormat="1" applyAlignment="1">
      <alignment horizontal="center"/>
    </xf>
    <xf numFmtId="0" fontId="0" fillId="0" borderId="1" xfId="0" applyBorder="1"/>
    <xf numFmtId="0" fontId="3" fillId="0" borderId="1" xfId="0" applyFont="1" applyBorder="1"/>
    <xf numFmtId="2" fontId="0" fillId="0" borderId="1" xfId="0" applyNumberFormat="1" applyBorder="1"/>
    <xf numFmtId="0" fontId="7" fillId="0" borderId="0" xfId="0" applyFont="1"/>
    <xf numFmtId="9" fontId="0" fillId="0" borderId="0" xfId="1" applyFont="1"/>
    <xf numFmtId="0" fontId="9" fillId="0" borderId="0" xfId="2"/>
    <xf numFmtId="0" fontId="0" fillId="2" borderId="1" xfId="0" applyFill="1" applyBorder="1"/>
    <xf numFmtId="165" fontId="0" fillId="2" borderId="1" xfId="0" applyNumberFormat="1" applyFill="1" applyBorder="1"/>
    <xf numFmtId="9" fontId="0" fillId="0" borderId="0" xfId="1" applyFont="1" applyAlignment="1">
      <alignment horizontal="center"/>
    </xf>
    <xf numFmtId="2" fontId="0" fillId="2" borderId="1" xfId="0" applyNumberFormat="1" applyFill="1" applyBorder="1" applyAlignment="1">
      <alignment horizontal="center"/>
    </xf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7" Type="http://schemas.openxmlformats.org/officeDocument/2006/relationships/image" Target="../media/image13.emf"/><Relationship Id="rId2" Type="http://schemas.openxmlformats.org/officeDocument/2006/relationships/image" Target="../media/image8.emf"/><Relationship Id="rId1" Type="http://schemas.openxmlformats.org/officeDocument/2006/relationships/image" Target="../media/image7.emf"/><Relationship Id="rId6" Type="http://schemas.openxmlformats.org/officeDocument/2006/relationships/image" Target="../media/image12.emf"/><Relationship Id="rId5" Type="http://schemas.openxmlformats.org/officeDocument/2006/relationships/image" Target="../media/image11.png"/><Relationship Id="rId4" Type="http://schemas.openxmlformats.org/officeDocument/2006/relationships/image" Target="../media/image10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37</xdr:row>
      <xdr:rowOff>9525</xdr:rowOff>
    </xdr:from>
    <xdr:to>
      <xdr:col>7</xdr:col>
      <xdr:colOff>154907</xdr:colOff>
      <xdr:row>56</xdr:row>
      <xdr:rowOff>76200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F69A238-54BE-4FE6-ACF2-B68B47C4F6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7058025"/>
          <a:ext cx="6422357" cy="3686175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</xdr:colOff>
      <xdr:row>65</xdr:row>
      <xdr:rowOff>76200</xdr:rowOff>
    </xdr:from>
    <xdr:to>
      <xdr:col>7</xdr:col>
      <xdr:colOff>133350</xdr:colOff>
      <xdr:row>84</xdr:row>
      <xdr:rowOff>152370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AD6CFEB3-8DB2-481E-ADDC-301BE5E01B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12458700"/>
          <a:ext cx="6438900" cy="369567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97</xdr:row>
      <xdr:rowOff>28575</xdr:rowOff>
    </xdr:from>
    <xdr:to>
      <xdr:col>12</xdr:col>
      <xdr:colOff>647700</xdr:colOff>
      <xdr:row>126</xdr:row>
      <xdr:rowOff>184112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D0514CCF-3EFA-4669-9174-F66120F5CE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507075"/>
          <a:ext cx="10058400" cy="568003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142</xdr:row>
      <xdr:rowOff>1</xdr:rowOff>
    </xdr:from>
    <xdr:to>
      <xdr:col>10</xdr:col>
      <xdr:colOff>309563</xdr:colOff>
      <xdr:row>167</xdr:row>
      <xdr:rowOff>38101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292F3A96-735D-4E65-A316-2990E41A4E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7051001"/>
          <a:ext cx="8501063" cy="48006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34</xdr:row>
      <xdr:rowOff>76200</xdr:rowOff>
    </xdr:from>
    <xdr:to>
      <xdr:col>8</xdr:col>
      <xdr:colOff>209550</xdr:colOff>
      <xdr:row>57</xdr:row>
      <xdr:rowOff>161925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C896297-0F49-45DA-87C0-1FE200ABBB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57975"/>
          <a:ext cx="7991475" cy="4467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59872</xdr:colOff>
      <xdr:row>47</xdr:row>
      <xdr:rowOff>36739</xdr:rowOff>
    </xdr:from>
    <xdr:to>
      <xdr:col>14</xdr:col>
      <xdr:colOff>205469</xdr:colOff>
      <xdr:row>56</xdr:row>
      <xdr:rowOff>131989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E0F109A-3264-4693-8DDB-20C704008C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56765" y="9207953"/>
          <a:ext cx="3819525" cy="1809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11</xdr:row>
      <xdr:rowOff>142875</xdr:rowOff>
    </xdr:from>
    <xdr:to>
      <xdr:col>2</xdr:col>
      <xdr:colOff>942975</xdr:colOff>
      <xdr:row>21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0834E9F-73C1-40C6-8597-1FB2F41446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238375"/>
          <a:ext cx="4076700" cy="1762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25</xdr:row>
      <xdr:rowOff>85725</xdr:rowOff>
    </xdr:from>
    <xdr:to>
      <xdr:col>3</xdr:col>
      <xdr:colOff>647700</xdr:colOff>
      <xdr:row>31</xdr:row>
      <xdr:rowOff>95250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B438241-FE5B-48D2-89F1-E67BBB49F2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857750"/>
          <a:ext cx="4876800" cy="1152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47625</xdr:colOff>
      <xdr:row>39</xdr:row>
      <xdr:rowOff>19050</xdr:rowOff>
    </xdr:from>
    <xdr:to>
      <xdr:col>4</xdr:col>
      <xdr:colOff>28575</xdr:colOff>
      <xdr:row>44</xdr:row>
      <xdr:rowOff>142875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27C4948-EE63-490A-AC51-2855A72FB3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6410325"/>
          <a:ext cx="4953000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50</xdr:row>
      <xdr:rowOff>47625</xdr:rowOff>
    </xdr:from>
    <xdr:to>
      <xdr:col>4</xdr:col>
      <xdr:colOff>57150</xdr:colOff>
      <xdr:row>57</xdr:row>
      <xdr:rowOff>9525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7EA01AC7-4DDF-40A2-9B32-D7539D4E9E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258175"/>
          <a:ext cx="5029200" cy="1295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63</xdr:row>
      <xdr:rowOff>38100</xdr:rowOff>
    </xdr:from>
    <xdr:to>
      <xdr:col>2</xdr:col>
      <xdr:colOff>533400</xdr:colOff>
      <xdr:row>67</xdr:row>
      <xdr:rowOff>9525</xdr:rowOff>
    </xdr:to>
    <xdr:pic>
      <xdr:nvPicPr>
        <xdr:cNvPr id="6" name="Picture 11">
          <a:extLst>
            <a:ext uri="{FF2B5EF4-FFF2-40B4-BE49-F238E27FC236}">
              <a16:creationId xmlns:a16="http://schemas.microsoft.com/office/drawing/2014/main" id="{D5471BD3-8196-4037-BAD4-4B3C687204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0391775"/>
          <a:ext cx="3648075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73</xdr:row>
      <xdr:rowOff>0</xdr:rowOff>
    </xdr:from>
    <xdr:to>
      <xdr:col>1</xdr:col>
      <xdr:colOff>200025</xdr:colOff>
      <xdr:row>76</xdr:row>
      <xdr:rowOff>85725</xdr:rowOff>
    </xdr:to>
    <xdr:pic>
      <xdr:nvPicPr>
        <xdr:cNvPr id="7" name="Picture 12">
          <a:extLst>
            <a:ext uri="{FF2B5EF4-FFF2-40B4-BE49-F238E27FC236}">
              <a16:creationId xmlns:a16="http://schemas.microsoft.com/office/drawing/2014/main" id="{596DC645-419B-485D-982E-8561F68329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954125"/>
          <a:ext cx="208597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38100</xdr:colOff>
      <xdr:row>89</xdr:row>
      <xdr:rowOff>133350</xdr:rowOff>
    </xdr:from>
    <xdr:to>
      <xdr:col>2</xdr:col>
      <xdr:colOff>590550</xdr:colOff>
      <xdr:row>93</xdr:row>
      <xdr:rowOff>76200</xdr:rowOff>
    </xdr:to>
    <xdr:pic>
      <xdr:nvPicPr>
        <xdr:cNvPr id="8" name="Picture 17">
          <a:extLst>
            <a:ext uri="{FF2B5EF4-FFF2-40B4-BE49-F238E27FC236}">
              <a16:creationId xmlns:a16="http://schemas.microsoft.com/office/drawing/2014/main" id="{1F67CAEC-AA1B-4631-9D4D-58A4153E78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4735175"/>
          <a:ext cx="37052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uperflankereva@hotmail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601F24-CE4E-4DDD-A739-276427F5A487}">
  <dimension ref="A1:I216"/>
  <sheetViews>
    <sheetView topLeftCell="A166" workbookViewId="0">
      <selection activeCell="E178" sqref="E178"/>
    </sheetView>
  </sheetViews>
  <sheetFormatPr defaultRowHeight="15" x14ac:dyDescent="0.25"/>
  <cols>
    <col min="1" max="1" width="40.5703125" customWidth="1"/>
    <col min="13" max="13" width="10.28515625" customWidth="1"/>
  </cols>
  <sheetData>
    <row r="1" spans="1:3" x14ac:dyDescent="0.25">
      <c r="A1" t="s">
        <v>131</v>
      </c>
      <c r="B1" t="s">
        <v>208</v>
      </c>
      <c r="C1" s="15" t="s">
        <v>140</v>
      </c>
    </row>
    <row r="3" spans="1:3" x14ac:dyDescent="0.25">
      <c r="A3" t="s">
        <v>132</v>
      </c>
    </row>
    <row r="4" spans="1:3" x14ac:dyDescent="0.25">
      <c r="A4" t="s">
        <v>133</v>
      </c>
    </row>
    <row r="5" spans="1:3" x14ac:dyDescent="0.25">
      <c r="A5" t="s">
        <v>134</v>
      </c>
    </row>
    <row r="6" spans="1:3" x14ac:dyDescent="0.25">
      <c r="A6" t="s">
        <v>135</v>
      </c>
    </row>
    <row r="8" spans="1:3" x14ac:dyDescent="0.25">
      <c r="A8" t="s">
        <v>136</v>
      </c>
    </row>
    <row r="10" spans="1:3" x14ac:dyDescent="0.25">
      <c r="A10" s="5" t="s">
        <v>137</v>
      </c>
    </row>
    <row r="11" spans="1:3" x14ac:dyDescent="0.25">
      <c r="A11" s="5" t="s">
        <v>138</v>
      </c>
    </row>
    <row r="12" spans="1:3" x14ac:dyDescent="0.25">
      <c r="A12" s="5" t="s">
        <v>156</v>
      </c>
    </row>
    <row r="13" spans="1:3" x14ac:dyDescent="0.25">
      <c r="A13" s="5" t="s">
        <v>139</v>
      </c>
    </row>
    <row r="16" spans="1:3" x14ac:dyDescent="0.25">
      <c r="A16" t="s">
        <v>141</v>
      </c>
    </row>
    <row r="18" spans="1:1" x14ac:dyDescent="0.25">
      <c r="A18" s="5" t="s">
        <v>142</v>
      </c>
    </row>
    <row r="20" spans="1:1" x14ac:dyDescent="0.25">
      <c r="A20" t="s">
        <v>143</v>
      </c>
    </row>
    <row r="21" spans="1:1" x14ac:dyDescent="0.25">
      <c r="A21" t="s">
        <v>144</v>
      </c>
    </row>
    <row r="22" spans="1:1" x14ac:dyDescent="0.25">
      <c r="A22" t="s">
        <v>150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30" spans="1:1" x14ac:dyDescent="0.25">
      <c r="A30" t="s">
        <v>151</v>
      </c>
    </row>
    <row r="32" spans="1:1" x14ac:dyDescent="0.25">
      <c r="A32" t="s">
        <v>152</v>
      </c>
    </row>
    <row r="33" spans="1:1" x14ac:dyDescent="0.25">
      <c r="A33" t="s">
        <v>153</v>
      </c>
    </row>
    <row r="34" spans="1:1" x14ac:dyDescent="0.25">
      <c r="A34" t="s">
        <v>154</v>
      </c>
    </row>
    <row r="36" spans="1:1" x14ac:dyDescent="0.25">
      <c r="A36" t="s">
        <v>155</v>
      </c>
    </row>
    <row r="37" spans="1:1" x14ac:dyDescent="0.25">
      <c r="A37" t="s">
        <v>157</v>
      </c>
    </row>
    <row r="59" spans="1:9" x14ac:dyDescent="0.25">
      <c r="A59" t="s">
        <v>161</v>
      </c>
    </row>
    <row r="60" spans="1:9" x14ac:dyDescent="0.25">
      <c r="A60" t="s">
        <v>158</v>
      </c>
    </row>
    <row r="61" spans="1:9" x14ac:dyDescent="0.25">
      <c r="A61" t="s">
        <v>159</v>
      </c>
    </row>
    <row r="62" spans="1:9" x14ac:dyDescent="0.25">
      <c r="A62" t="s">
        <v>160</v>
      </c>
    </row>
    <row r="63" spans="1:9" x14ac:dyDescent="0.25">
      <c r="A63" t="s">
        <v>162</v>
      </c>
      <c r="G63">
        <v>7.6886000000000001</v>
      </c>
      <c r="H63" t="s">
        <v>26</v>
      </c>
      <c r="I63" t="s">
        <v>163</v>
      </c>
    </row>
    <row r="65" spans="1:1" x14ac:dyDescent="0.25">
      <c r="A65" t="s">
        <v>164</v>
      </c>
    </row>
    <row r="87" spans="1:1" x14ac:dyDescent="0.25">
      <c r="A87" t="s">
        <v>166</v>
      </c>
    </row>
    <row r="88" spans="1:1" x14ac:dyDescent="0.25">
      <c r="A88" t="s">
        <v>167</v>
      </c>
    </row>
    <row r="89" spans="1:1" x14ac:dyDescent="0.25">
      <c r="A89" t="s">
        <v>168</v>
      </c>
    </row>
    <row r="91" spans="1:1" x14ac:dyDescent="0.25">
      <c r="A91" t="s">
        <v>165</v>
      </c>
    </row>
    <row r="94" spans="1:1" x14ac:dyDescent="0.25">
      <c r="A94" s="5" t="s">
        <v>138</v>
      </c>
    </row>
    <row r="96" spans="1:1" x14ac:dyDescent="0.25">
      <c r="A96" t="s">
        <v>171</v>
      </c>
    </row>
    <row r="97" spans="1:1" x14ac:dyDescent="0.25">
      <c r="A97" t="s">
        <v>172</v>
      </c>
    </row>
    <row r="129" spans="1:1" x14ac:dyDescent="0.25">
      <c r="A129" t="s">
        <v>173</v>
      </c>
    </row>
    <row r="130" spans="1:1" x14ac:dyDescent="0.25">
      <c r="A130" t="s">
        <v>174</v>
      </c>
    </row>
    <row r="131" spans="1:1" x14ac:dyDescent="0.25">
      <c r="A131" t="s">
        <v>175</v>
      </c>
    </row>
    <row r="132" spans="1:1" x14ac:dyDescent="0.25">
      <c r="A132" t="s">
        <v>176</v>
      </c>
    </row>
    <row r="133" spans="1:1" x14ac:dyDescent="0.25">
      <c r="A133" t="s">
        <v>177</v>
      </c>
    </row>
    <row r="135" spans="1:1" x14ac:dyDescent="0.25">
      <c r="A135" t="s">
        <v>178</v>
      </c>
    </row>
    <row r="136" spans="1:1" x14ac:dyDescent="0.25">
      <c r="A136" t="s">
        <v>180</v>
      </c>
    </row>
    <row r="137" spans="1:1" x14ac:dyDescent="0.25">
      <c r="A137" t="s">
        <v>179</v>
      </c>
    </row>
    <row r="139" spans="1:1" x14ac:dyDescent="0.25">
      <c r="A139" t="s">
        <v>181</v>
      </c>
    </row>
    <row r="142" spans="1:1" x14ac:dyDescent="0.25">
      <c r="A142" s="5" t="s">
        <v>156</v>
      </c>
    </row>
    <row r="170" spans="1:1" x14ac:dyDescent="0.25">
      <c r="A170" t="s">
        <v>182</v>
      </c>
    </row>
    <row r="171" spans="1:1" x14ac:dyDescent="0.25">
      <c r="A171" t="s">
        <v>183</v>
      </c>
    </row>
    <row r="172" spans="1:1" x14ac:dyDescent="0.25">
      <c r="A172" t="s">
        <v>184</v>
      </c>
    </row>
    <row r="174" spans="1:1" x14ac:dyDescent="0.25">
      <c r="A174" t="s">
        <v>185</v>
      </c>
    </row>
    <row r="175" spans="1:1" x14ac:dyDescent="0.25">
      <c r="A175" t="s">
        <v>186</v>
      </c>
    </row>
    <row r="176" spans="1:1" x14ac:dyDescent="0.25">
      <c r="A176" t="s">
        <v>187</v>
      </c>
    </row>
    <row r="177" spans="1:1" x14ac:dyDescent="0.25">
      <c r="A177" t="s">
        <v>188</v>
      </c>
    </row>
    <row r="179" spans="1:1" x14ac:dyDescent="0.25">
      <c r="A179" t="s">
        <v>189</v>
      </c>
    </row>
    <row r="180" spans="1:1" x14ac:dyDescent="0.25">
      <c r="A180" t="s">
        <v>190</v>
      </c>
    </row>
    <row r="182" spans="1:1" x14ac:dyDescent="0.25">
      <c r="A182" t="s">
        <v>191</v>
      </c>
    </row>
    <row r="183" spans="1:1" x14ac:dyDescent="0.25">
      <c r="A183" t="s">
        <v>192</v>
      </c>
    </row>
    <row r="184" spans="1:1" x14ac:dyDescent="0.25">
      <c r="A184" t="s">
        <v>193</v>
      </c>
    </row>
    <row r="186" spans="1:1" x14ac:dyDescent="0.25">
      <c r="A186" t="s">
        <v>194</v>
      </c>
    </row>
    <row r="187" spans="1:1" x14ac:dyDescent="0.25">
      <c r="A187" t="s">
        <v>195</v>
      </c>
    </row>
    <row r="190" spans="1:1" x14ac:dyDescent="0.25">
      <c r="A190" s="5" t="s">
        <v>139</v>
      </c>
    </row>
    <row r="191" spans="1:1" x14ac:dyDescent="0.25">
      <c r="A191" t="s">
        <v>196</v>
      </c>
    </row>
    <row r="194" spans="1:6" x14ac:dyDescent="0.25">
      <c r="A194" s="5" t="s">
        <v>197</v>
      </c>
    </row>
    <row r="195" spans="1:6" x14ac:dyDescent="0.25">
      <c r="A195" t="s">
        <v>96</v>
      </c>
      <c r="B195" s="3">
        <v>3.1399999999999997E-2</v>
      </c>
      <c r="C195" s="3" t="s">
        <v>26</v>
      </c>
    </row>
    <row r="196" spans="1:6" x14ac:dyDescent="0.25">
      <c r="A196" t="s">
        <v>31</v>
      </c>
      <c r="B196" s="3">
        <v>190.16</v>
      </c>
      <c r="C196" s="3" t="s">
        <v>22</v>
      </c>
    </row>
    <row r="197" spans="1:6" x14ac:dyDescent="0.25">
      <c r="A197" t="s">
        <v>116</v>
      </c>
      <c r="B197" s="18">
        <v>1</v>
      </c>
    </row>
    <row r="198" spans="1:6" x14ac:dyDescent="0.25">
      <c r="A198" s="13" t="s">
        <v>24</v>
      </c>
      <c r="B198" s="3">
        <v>50</v>
      </c>
      <c r="C198" s="3" t="s">
        <v>25</v>
      </c>
    </row>
    <row r="200" spans="1:6" x14ac:dyDescent="0.25">
      <c r="A200" t="s">
        <v>198</v>
      </c>
    </row>
    <row r="201" spans="1:6" x14ac:dyDescent="0.25">
      <c r="A201" t="s">
        <v>199</v>
      </c>
    </row>
    <row r="203" spans="1:6" x14ac:dyDescent="0.25">
      <c r="A203" s="5" t="s">
        <v>99</v>
      </c>
    </row>
    <row r="204" spans="1:6" x14ac:dyDescent="0.25">
      <c r="A204" t="s">
        <v>100</v>
      </c>
      <c r="B204" s="3">
        <v>0.2</v>
      </c>
      <c r="C204" t="s">
        <v>9</v>
      </c>
      <c r="D204" t="s">
        <v>4</v>
      </c>
      <c r="E204" s="3">
        <f>PI()*(B204/2)^2</f>
        <v>3.1415926535897934E-2</v>
      </c>
      <c r="F204" t="s">
        <v>26</v>
      </c>
    </row>
    <row r="205" spans="1:6" x14ac:dyDescent="0.25">
      <c r="A205" t="s">
        <v>117</v>
      </c>
      <c r="B205" s="18">
        <v>1</v>
      </c>
    </row>
    <row r="206" spans="1:6" x14ac:dyDescent="0.25">
      <c r="A206" t="s">
        <v>94</v>
      </c>
      <c r="B206" s="3">
        <v>143.72</v>
      </c>
      <c r="C206" t="s">
        <v>22</v>
      </c>
    </row>
    <row r="208" spans="1:6" x14ac:dyDescent="0.25">
      <c r="A208" t="s">
        <v>200</v>
      </c>
    </row>
    <row r="209" spans="1:1" x14ac:dyDescent="0.25">
      <c r="A209" t="s">
        <v>201</v>
      </c>
    </row>
    <row r="210" spans="1:1" x14ac:dyDescent="0.25">
      <c r="A210" t="s">
        <v>202</v>
      </c>
    </row>
    <row r="211" spans="1:1" x14ac:dyDescent="0.25">
      <c r="A211" t="s">
        <v>203</v>
      </c>
    </row>
    <row r="213" spans="1:1" x14ac:dyDescent="0.25">
      <c r="A213" t="s">
        <v>204</v>
      </c>
    </row>
    <row r="214" spans="1:1" x14ac:dyDescent="0.25">
      <c r="A214" t="s">
        <v>205</v>
      </c>
    </row>
    <row r="215" spans="1:1" x14ac:dyDescent="0.25">
      <c r="A215" t="s">
        <v>206</v>
      </c>
    </row>
    <row r="216" spans="1:1" x14ac:dyDescent="0.25">
      <c r="A216" t="s">
        <v>207</v>
      </c>
    </row>
  </sheetData>
  <hyperlinks>
    <hyperlink ref="C1" r:id="rId1" xr:uid="{0DEC6D10-C3B2-4D8C-B418-BB9A429CC723}"/>
  </hyperlinks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C05B74-5BEA-4A02-B0F4-289C9B1B4509}">
  <dimension ref="A1:I67"/>
  <sheetViews>
    <sheetView tabSelected="1" topLeftCell="A37" zoomScale="70" zoomScaleNormal="70" workbookViewId="0">
      <selection activeCell="E65" sqref="E65"/>
    </sheetView>
  </sheetViews>
  <sheetFormatPr defaultRowHeight="15" x14ac:dyDescent="0.25"/>
  <cols>
    <col min="1" max="1" width="47.5703125" customWidth="1"/>
    <col min="2" max="2" width="14.28515625" customWidth="1"/>
  </cols>
  <sheetData>
    <row r="1" spans="1:5" ht="23.25" x14ac:dyDescent="0.35">
      <c r="A1" s="6" t="s">
        <v>112</v>
      </c>
    </row>
    <row r="2" spans="1:5" x14ac:dyDescent="0.25">
      <c r="A2" t="s">
        <v>111</v>
      </c>
    </row>
    <row r="3" spans="1:5" x14ac:dyDescent="0.25">
      <c r="A3" t="s">
        <v>115</v>
      </c>
    </row>
    <row r="4" spans="1:5" x14ac:dyDescent="0.25">
      <c r="A4" t="s">
        <v>169</v>
      </c>
    </row>
    <row r="5" spans="1:5" x14ac:dyDescent="0.25">
      <c r="A5" t="s">
        <v>75</v>
      </c>
      <c r="B5">
        <f>'Standard Atmosphere'!B99</f>
        <v>210.15</v>
      </c>
      <c r="C5" t="s">
        <v>28</v>
      </c>
    </row>
    <row r="7" spans="1:5" x14ac:dyDescent="0.25">
      <c r="A7" s="5" t="s">
        <v>97</v>
      </c>
      <c r="B7" t="s">
        <v>98</v>
      </c>
    </row>
    <row r="8" spans="1:5" x14ac:dyDescent="0.25">
      <c r="A8" t="s">
        <v>70</v>
      </c>
      <c r="B8">
        <v>0.9</v>
      </c>
      <c r="C8" t="s">
        <v>71</v>
      </c>
      <c r="D8">
        <f>B8*'Standard Atmosphere'!B84</f>
        <v>263.75534999999996</v>
      </c>
      <c r="E8" t="s">
        <v>57</v>
      </c>
    </row>
    <row r="9" spans="1:5" x14ac:dyDescent="0.25">
      <c r="A9" t="s">
        <v>73</v>
      </c>
      <c r="B9">
        <v>12000</v>
      </c>
      <c r="C9" t="s">
        <v>9</v>
      </c>
    </row>
    <row r="10" spans="1:5" x14ac:dyDescent="0.25">
      <c r="A10" t="s">
        <v>127</v>
      </c>
      <c r="B10">
        <v>244.19</v>
      </c>
      <c r="C10" t="s">
        <v>2</v>
      </c>
      <c r="D10">
        <f>B10-273</f>
        <v>-28.810000000000002</v>
      </c>
      <c r="E10" t="s">
        <v>3</v>
      </c>
    </row>
    <row r="11" spans="1:5" x14ac:dyDescent="0.25">
      <c r="A11" t="s">
        <v>23</v>
      </c>
      <c r="B11">
        <v>5.8113999999999999</v>
      </c>
      <c r="C11" t="s">
        <v>0</v>
      </c>
      <c r="D11">
        <f>B11*10000</f>
        <v>58114</v>
      </c>
      <c r="E11" t="s">
        <v>1</v>
      </c>
    </row>
    <row r="12" spans="1:5" x14ac:dyDescent="0.25">
      <c r="A12" t="s">
        <v>5</v>
      </c>
      <c r="B12">
        <v>0.6</v>
      </c>
    </row>
    <row r="15" spans="1:5" x14ac:dyDescent="0.25">
      <c r="A15" s="5" t="s">
        <v>170</v>
      </c>
      <c r="B15" s="16">
        <f>'Standard Atmosphere'!B100</f>
        <v>244.1943</v>
      </c>
      <c r="C15" t="s">
        <v>28</v>
      </c>
    </row>
    <row r="16" spans="1:5" x14ac:dyDescent="0.25">
      <c r="A16" s="5" t="s">
        <v>128</v>
      </c>
      <c r="B16" s="17">
        <f>2898/B10</f>
        <v>11.867807854539498</v>
      </c>
      <c r="C16" t="s">
        <v>109</v>
      </c>
    </row>
    <row r="19" spans="1:9" x14ac:dyDescent="0.25">
      <c r="A19" s="1" t="s">
        <v>95</v>
      </c>
    </row>
    <row r="20" spans="1:9" x14ac:dyDescent="0.25">
      <c r="A20" t="s">
        <v>6</v>
      </c>
    </row>
    <row r="21" spans="1:9" x14ac:dyDescent="0.25">
      <c r="A21" t="s">
        <v>7</v>
      </c>
      <c r="B21">
        <v>20</v>
      </c>
      <c r="C21" t="s">
        <v>8</v>
      </c>
      <c r="D21">
        <f>B21/100</f>
        <v>0.2</v>
      </c>
      <c r="E21" t="s">
        <v>9</v>
      </c>
      <c r="F21">
        <f>B21/2.54</f>
        <v>7.8740157480314963</v>
      </c>
      <c r="G21" t="s">
        <v>10</v>
      </c>
    </row>
    <row r="22" spans="1:9" x14ac:dyDescent="0.25">
      <c r="A22" t="s">
        <v>11</v>
      </c>
      <c r="B22" s="2">
        <f>PI()*(D21/2)^2</f>
        <v>3.1415926535897934E-2</v>
      </c>
      <c r="C22" t="s">
        <v>0</v>
      </c>
    </row>
    <row r="24" spans="1:9" x14ac:dyDescent="0.25">
      <c r="A24" s="5" t="s">
        <v>101</v>
      </c>
    </row>
    <row r="25" spans="1:9" x14ac:dyDescent="0.25">
      <c r="A25" t="s">
        <v>12</v>
      </c>
      <c r="B25" s="3">
        <v>8</v>
      </c>
      <c r="C25" s="3" t="s">
        <v>13</v>
      </c>
    </row>
    <row r="26" spans="1:9" x14ac:dyDescent="0.25">
      <c r="A26" t="s">
        <v>14</v>
      </c>
      <c r="B26" s="3">
        <v>12</v>
      </c>
      <c r="C26" s="3" t="s">
        <v>13</v>
      </c>
    </row>
    <row r="27" spans="1:9" x14ac:dyDescent="0.25">
      <c r="A27" t="s">
        <v>15</v>
      </c>
      <c r="B27" s="3">
        <f>AVERAGE(B25:B26)</f>
        <v>10</v>
      </c>
      <c r="C27" s="3" t="s">
        <v>13</v>
      </c>
      <c r="D27">
        <f>B27^5</f>
        <v>100000</v>
      </c>
      <c r="E27" t="s">
        <v>16</v>
      </c>
      <c r="F27">
        <f>B27*B10</f>
        <v>2441.9</v>
      </c>
      <c r="G27" t="s">
        <v>17</v>
      </c>
      <c r="H27">
        <f>(EXP(1.44*10^4/F27))-1</f>
        <v>362.9612409780197</v>
      </c>
      <c r="I27" t="s">
        <v>18</v>
      </c>
    </row>
    <row r="28" spans="1:9" x14ac:dyDescent="0.25">
      <c r="B28" s="3"/>
      <c r="C28" s="3"/>
    </row>
    <row r="29" spans="1:9" x14ac:dyDescent="0.25">
      <c r="A29" s="1" t="s">
        <v>19</v>
      </c>
      <c r="C29" s="3"/>
    </row>
    <row r="30" spans="1:9" x14ac:dyDescent="0.25">
      <c r="A30" t="s">
        <v>104</v>
      </c>
      <c r="B30" s="2">
        <f>3.74*(10^4)/(D27*H27)</f>
        <v>1.0304130517964831E-3</v>
      </c>
      <c r="C30" s="3" t="s">
        <v>20</v>
      </c>
    </row>
    <row r="31" spans="1:9" x14ac:dyDescent="0.25">
      <c r="A31" t="s">
        <v>21</v>
      </c>
      <c r="B31" s="4">
        <f>B12*B30*(B26-B25)*D11</f>
        <v>143.71541782104197</v>
      </c>
      <c r="C31" s="3" t="s">
        <v>22</v>
      </c>
    </row>
    <row r="34" spans="1:1" ht="23.25" x14ac:dyDescent="0.35">
      <c r="A34" s="6" t="s">
        <v>118</v>
      </c>
    </row>
    <row r="59" spans="1:4" x14ac:dyDescent="0.25">
      <c r="D59" t="s">
        <v>122</v>
      </c>
    </row>
    <row r="60" spans="1:4" x14ac:dyDescent="0.25">
      <c r="A60" t="s">
        <v>119</v>
      </c>
      <c r="B60">
        <v>1</v>
      </c>
      <c r="C60" t="s">
        <v>46</v>
      </c>
    </row>
    <row r="61" spans="1:4" x14ac:dyDescent="0.25">
      <c r="A61" t="s">
        <v>121</v>
      </c>
      <c r="B61" s="14">
        <v>0.8</v>
      </c>
      <c r="D61" t="s">
        <v>123</v>
      </c>
    </row>
    <row r="64" spans="1:4" x14ac:dyDescent="0.25">
      <c r="A64" t="s">
        <v>124</v>
      </c>
      <c r="B64">
        <f>B9</f>
        <v>12000</v>
      </c>
      <c r="C64" t="s">
        <v>9</v>
      </c>
    </row>
    <row r="65" spans="1:3" x14ac:dyDescent="0.25">
      <c r="A65" t="s">
        <v>126</v>
      </c>
      <c r="B65" s="4">
        <f>'Standard Atmosphere'!B82</f>
        <v>0.19031106039320692</v>
      </c>
      <c r="C65" t="s">
        <v>46</v>
      </c>
    </row>
    <row r="67" spans="1:3" x14ac:dyDescent="0.25">
      <c r="A67" s="5" t="s">
        <v>125</v>
      </c>
      <c r="B67" s="14">
        <f>IF((B61*((B60/B65)^(0.25)))&gt;1,1,B61*((B60/B65)^(0.25)))</f>
        <v>1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F90432-3C4A-4550-95E5-F6E1183CEB5B}">
  <dimension ref="A1:F30"/>
  <sheetViews>
    <sheetView workbookViewId="0">
      <selection activeCell="B9" sqref="B9"/>
    </sheetView>
  </sheetViews>
  <sheetFormatPr defaultRowHeight="15" x14ac:dyDescent="0.25"/>
  <cols>
    <col min="1" max="1" width="51.42578125" customWidth="1"/>
    <col min="2" max="2" width="15.7109375" customWidth="1"/>
    <col min="3" max="3" width="13.5703125" customWidth="1"/>
  </cols>
  <sheetData>
    <row r="1" spans="1:6" ht="23.25" x14ac:dyDescent="0.35">
      <c r="A1" s="6" t="s">
        <v>113</v>
      </c>
    </row>
    <row r="2" spans="1:6" x14ac:dyDescent="0.25">
      <c r="A2" s="5" t="s">
        <v>114</v>
      </c>
    </row>
    <row r="3" spans="1:6" x14ac:dyDescent="0.25">
      <c r="A3" t="s">
        <v>96</v>
      </c>
      <c r="B3" s="3">
        <v>3.1399999999999997E-2</v>
      </c>
      <c r="C3" s="3" t="s">
        <v>26</v>
      </c>
    </row>
    <row r="4" spans="1:6" x14ac:dyDescent="0.25">
      <c r="A4" t="s">
        <v>31</v>
      </c>
      <c r="B4" s="3">
        <v>190.16</v>
      </c>
      <c r="C4" s="3" t="s">
        <v>22</v>
      </c>
    </row>
    <row r="5" spans="1:6" x14ac:dyDescent="0.25">
      <c r="A5" t="s">
        <v>116</v>
      </c>
      <c r="B5" s="18">
        <v>1</v>
      </c>
    </row>
    <row r="6" spans="1:6" x14ac:dyDescent="0.25">
      <c r="A6" s="13" t="s">
        <v>24</v>
      </c>
      <c r="B6" s="3">
        <v>50</v>
      </c>
      <c r="C6" s="3" t="s">
        <v>25</v>
      </c>
    </row>
    <row r="8" spans="1:6" x14ac:dyDescent="0.25">
      <c r="A8" s="5" t="s">
        <v>99</v>
      </c>
    </row>
    <row r="9" spans="1:6" x14ac:dyDescent="0.25">
      <c r="A9" t="s">
        <v>100</v>
      </c>
      <c r="B9" s="3">
        <v>0.4</v>
      </c>
      <c r="C9" t="s">
        <v>9</v>
      </c>
      <c r="D9" t="s">
        <v>4</v>
      </c>
      <c r="E9" s="3">
        <f>PI()*(B9/2)^2</f>
        <v>0.12566370614359174</v>
      </c>
      <c r="F9" t="s">
        <v>26</v>
      </c>
    </row>
    <row r="10" spans="1:6" x14ac:dyDescent="0.25">
      <c r="A10" t="s">
        <v>117</v>
      </c>
      <c r="B10" s="18">
        <v>1</v>
      </c>
    </row>
    <row r="11" spans="1:6" x14ac:dyDescent="0.25">
      <c r="A11" t="s">
        <v>94</v>
      </c>
      <c r="B11" s="3">
        <v>143.72</v>
      </c>
      <c r="C11" t="s">
        <v>22</v>
      </c>
    </row>
    <row r="14" spans="1:6" x14ac:dyDescent="0.25">
      <c r="A14" s="5" t="s">
        <v>110</v>
      </c>
      <c r="B14" s="19">
        <f>SQRT((B11/B4)*(E9/B3)*(B10/B5))*B6</f>
        <v>86.957917831769464</v>
      </c>
      <c r="C14" s="5" t="s">
        <v>90</v>
      </c>
    </row>
    <row r="18" spans="1:3" x14ac:dyDescent="0.25">
      <c r="A18" s="1"/>
    </row>
    <row r="21" spans="1:3" x14ac:dyDescent="0.25">
      <c r="B21" s="2"/>
    </row>
    <row r="23" spans="1:3" x14ac:dyDescent="0.25">
      <c r="A23" s="5"/>
    </row>
    <row r="24" spans="1:3" x14ac:dyDescent="0.25">
      <c r="B24" s="3"/>
      <c r="C24" s="3"/>
    </row>
    <row r="25" spans="1:3" x14ac:dyDescent="0.25">
      <c r="B25" s="3"/>
      <c r="C25" s="3"/>
    </row>
    <row r="26" spans="1:3" x14ac:dyDescent="0.25">
      <c r="B26" s="3"/>
      <c r="C26" s="3"/>
    </row>
    <row r="27" spans="1:3" x14ac:dyDescent="0.25">
      <c r="B27" s="3"/>
      <c r="C27" s="3"/>
    </row>
    <row r="28" spans="1:3" x14ac:dyDescent="0.25">
      <c r="A28" s="1"/>
      <c r="C28" s="3"/>
    </row>
    <row r="29" spans="1:3" x14ac:dyDescent="0.25">
      <c r="B29" s="2"/>
      <c r="C29" s="3"/>
    </row>
    <row r="30" spans="1:3" x14ac:dyDescent="0.25">
      <c r="B30" s="4"/>
      <c r="C30" s="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E9FC1F-375B-45DB-9F14-FF21E58CDAA3}">
  <dimension ref="A1:G23"/>
  <sheetViews>
    <sheetView topLeftCell="A7" workbookViewId="0">
      <selection activeCell="D21" sqref="D21"/>
    </sheetView>
  </sheetViews>
  <sheetFormatPr defaultRowHeight="15" x14ac:dyDescent="0.25"/>
  <cols>
    <col min="1" max="1" width="41.5703125" customWidth="1"/>
    <col min="2" max="2" width="11" customWidth="1"/>
    <col min="3" max="3" width="11.85546875" customWidth="1"/>
    <col min="4" max="4" width="20.140625" customWidth="1"/>
    <col min="5" max="5" width="25.85546875" customWidth="1"/>
    <col min="6" max="6" width="11.42578125" customWidth="1"/>
    <col min="7" max="7" width="26.140625" customWidth="1"/>
  </cols>
  <sheetData>
    <row r="1" spans="1:7" x14ac:dyDescent="0.25">
      <c r="A1" t="s">
        <v>33</v>
      </c>
    </row>
    <row r="2" spans="1:7" x14ac:dyDescent="0.25">
      <c r="A2" t="s">
        <v>35</v>
      </c>
    </row>
    <row r="3" spans="1:7" x14ac:dyDescent="0.25">
      <c r="A3" t="s">
        <v>36</v>
      </c>
    </row>
    <row r="4" spans="1:7" x14ac:dyDescent="0.25">
      <c r="A4" t="s">
        <v>37</v>
      </c>
    </row>
    <row r="5" spans="1:7" x14ac:dyDescent="0.25">
      <c r="A5" t="s">
        <v>86</v>
      </c>
    </row>
    <row r="6" spans="1:7" x14ac:dyDescent="0.25">
      <c r="A6" t="s">
        <v>87</v>
      </c>
    </row>
    <row r="7" spans="1:7" x14ac:dyDescent="0.25">
      <c r="A7" t="s">
        <v>32</v>
      </c>
      <c r="B7" t="s">
        <v>34</v>
      </c>
      <c r="C7">
        <v>12000</v>
      </c>
      <c r="D7" t="s">
        <v>9</v>
      </c>
      <c r="E7" t="s">
        <v>79</v>
      </c>
      <c r="F7" t="s">
        <v>80</v>
      </c>
      <c r="G7">
        <v>0.9</v>
      </c>
    </row>
    <row r="9" spans="1:7" x14ac:dyDescent="0.25">
      <c r="A9" s="5" t="s">
        <v>78</v>
      </c>
      <c r="B9" t="s">
        <v>81</v>
      </c>
      <c r="C9" t="s">
        <v>83</v>
      </c>
      <c r="D9" t="s">
        <v>88</v>
      </c>
      <c r="E9" t="s">
        <v>92</v>
      </c>
    </row>
    <row r="10" spans="1:7" x14ac:dyDescent="0.25">
      <c r="A10" t="s">
        <v>130</v>
      </c>
      <c r="B10">
        <v>7.6886000000000001</v>
      </c>
      <c r="C10">
        <f>B10*10000</f>
        <v>76886</v>
      </c>
      <c r="D10">
        <v>244.19300000000001</v>
      </c>
      <c r="E10">
        <v>190.16</v>
      </c>
    </row>
    <row r="11" spans="1:7" x14ac:dyDescent="0.25">
      <c r="A11" t="s">
        <v>129</v>
      </c>
      <c r="D11">
        <v>327.73</v>
      </c>
      <c r="E11">
        <v>857.88</v>
      </c>
    </row>
    <row r="12" spans="1:7" x14ac:dyDescent="0.25">
      <c r="A12" t="s">
        <v>102</v>
      </c>
      <c r="B12">
        <v>5.8113999999999999</v>
      </c>
      <c r="C12">
        <f t="shared" ref="C12" si="0">B12*10000</f>
        <v>58114</v>
      </c>
      <c r="E12">
        <v>143.72</v>
      </c>
    </row>
    <row r="13" spans="1:7" x14ac:dyDescent="0.25">
      <c r="A13" t="s">
        <v>103</v>
      </c>
      <c r="E13">
        <v>648.36</v>
      </c>
    </row>
    <row r="14" spans="1:7" x14ac:dyDescent="0.25">
      <c r="A14" t="s">
        <v>108</v>
      </c>
      <c r="E14">
        <v>567.33000000000004</v>
      </c>
    </row>
    <row r="18" spans="1:7" x14ac:dyDescent="0.25">
      <c r="A18" s="5" t="s">
        <v>82</v>
      </c>
      <c r="B18" t="s">
        <v>81</v>
      </c>
      <c r="C18" t="s">
        <v>83</v>
      </c>
      <c r="D18" t="s">
        <v>84</v>
      </c>
      <c r="E18" t="s">
        <v>89</v>
      </c>
      <c r="F18" t="s">
        <v>85</v>
      </c>
      <c r="G18" t="s">
        <v>93</v>
      </c>
    </row>
    <row r="19" spans="1:7" x14ac:dyDescent="0.25">
      <c r="A19" t="s">
        <v>32</v>
      </c>
      <c r="B19">
        <v>1.1299999999999999</v>
      </c>
      <c r="C19">
        <f>B19*10000</f>
        <v>11299.999999999998</v>
      </c>
      <c r="D19">
        <v>2</v>
      </c>
      <c r="E19">
        <f>C19*D19</f>
        <v>22599.999999999996</v>
      </c>
      <c r="F19">
        <v>1038</v>
      </c>
      <c r="G19">
        <v>6735.01</v>
      </c>
    </row>
    <row r="20" spans="1:7" x14ac:dyDescent="0.25">
      <c r="A20" t="s">
        <v>91</v>
      </c>
      <c r="F20">
        <v>2082</v>
      </c>
      <c r="G20">
        <v>20346.939999999999</v>
      </c>
    </row>
    <row r="21" spans="1:7" x14ac:dyDescent="0.25">
      <c r="A21" t="s">
        <v>105</v>
      </c>
      <c r="B21">
        <v>1.0900000000000001</v>
      </c>
      <c r="C21">
        <v>10935.88</v>
      </c>
      <c r="D21">
        <v>2</v>
      </c>
      <c r="E21">
        <f>C21*D21</f>
        <v>21871.759999999998</v>
      </c>
      <c r="F21">
        <v>1046</v>
      </c>
      <c r="G21">
        <v>6364.45</v>
      </c>
    </row>
    <row r="22" spans="1:7" x14ac:dyDescent="0.25">
      <c r="A22" t="s">
        <v>106</v>
      </c>
      <c r="F22">
        <v>2169</v>
      </c>
      <c r="G22">
        <v>20002</v>
      </c>
    </row>
    <row r="23" spans="1:7" x14ac:dyDescent="0.25">
      <c r="A23" t="s">
        <v>107</v>
      </c>
      <c r="B23">
        <v>1.02</v>
      </c>
      <c r="C23">
        <v>10207.030000000001</v>
      </c>
      <c r="D23">
        <v>2</v>
      </c>
      <c r="E23">
        <f t="shared" ref="E23" si="1">C23*D23</f>
        <v>20414.060000000001</v>
      </c>
      <c r="F23">
        <v>1921</v>
      </c>
      <c r="G23">
        <v>16405.189999999999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92D8E-BE6A-4583-80DC-C05356BEF883}">
  <dimension ref="A9:G102"/>
  <sheetViews>
    <sheetView topLeftCell="A85" workbookViewId="0">
      <selection activeCell="B111" sqref="B111"/>
    </sheetView>
  </sheetViews>
  <sheetFormatPr defaultRowHeight="15" x14ac:dyDescent="0.25"/>
  <cols>
    <col min="1" max="1" width="28.28515625" customWidth="1"/>
    <col min="2" max="2" width="19" customWidth="1"/>
    <col min="3" max="3" width="16.140625" customWidth="1"/>
    <col min="4" max="4" width="11.140625" customWidth="1"/>
  </cols>
  <sheetData>
    <row r="9" spans="1:5" x14ac:dyDescent="0.25">
      <c r="A9" t="s">
        <v>38</v>
      </c>
      <c r="B9">
        <v>22000</v>
      </c>
      <c r="C9" t="s">
        <v>39</v>
      </c>
      <c r="D9">
        <f>B9/0.304</f>
        <v>72368.421052631587</v>
      </c>
      <c r="E9" t="s">
        <v>40</v>
      </c>
    </row>
    <row r="10" spans="1:5" x14ac:dyDescent="0.25">
      <c r="A10" t="s">
        <v>41</v>
      </c>
      <c r="B10">
        <f>B98</f>
        <v>12000</v>
      </c>
      <c r="C10" t="s">
        <v>39</v>
      </c>
      <c r="D10">
        <f>B10/0.304</f>
        <v>39473.68421052632</v>
      </c>
      <c r="E10" t="s">
        <v>40</v>
      </c>
    </row>
    <row r="12" spans="1:5" x14ac:dyDescent="0.25">
      <c r="A12" t="s">
        <v>42</v>
      </c>
    </row>
    <row r="22" spans="1:5" ht="15.75" x14ac:dyDescent="0.25">
      <c r="A22" s="8" t="s">
        <v>43</v>
      </c>
    </row>
    <row r="23" spans="1:5" x14ac:dyDescent="0.25">
      <c r="A23" t="s">
        <v>43</v>
      </c>
      <c r="B23">
        <f>15.15-(0.0065*B10)</f>
        <v>-62.85</v>
      </c>
      <c r="C23" t="s">
        <v>3</v>
      </c>
      <c r="D23">
        <f>B23+273</f>
        <v>210.15</v>
      </c>
      <c r="E23" t="s">
        <v>2</v>
      </c>
    </row>
    <row r="24" spans="1:5" x14ac:dyDescent="0.25">
      <c r="A24" t="s">
        <v>44</v>
      </c>
      <c r="B24" s="4">
        <f>D23/(15.15+273)</f>
        <v>0.72930765226444572</v>
      </c>
      <c r="D24">
        <f>D25-459.688</f>
        <v>-81.41799999999995</v>
      </c>
      <c r="E24" t="s">
        <v>29</v>
      </c>
    </row>
    <row r="25" spans="1:5" x14ac:dyDescent="0.25">
      <c r="D25">
        <f>(9/5)*D23</f>
        <v>378.27000000000004</v>
      </c>
      <c r="E25" t="s">
        <v>30</v>
      </c>
    </row>
    <row r="35" spans="1:7" ht="15.75" x14ac:dyDescent="0.25">
      <c r="A35" s="8" t="s">
        <v>45</v>
      </c>
    </row>
    <row r="36" spans="1:7" x14ac:dyDescent="0.25">
      <c r="A36" t="s">
        <v>45</v>
      </c>
      <c r="B36" s="7">
        <f>(1-(2.2558*(10^-5))*B10)^5.25588</f>
        <v>0.19031106039320692</v>
      </c>
      <c r="C36" t="s">
        <v>46</v>
      </c>
      <c r="D36">
        <f>B36*1.013*10^5</f>
        <v>19278.510417831858</v>
      </c>
      <c r="E36" t="s">
        <v>47</v>
      </c>
      <c r="G36" t="s">
        <v>48</v>
      </c>
    </row>
    <row r="37" spans="1:7" x14ac:dyDescent="0.25">
      <c r="A37" t="s">
        <v>120</v>
      </c>
      <c r="B37" s="4">
        <f>B36/1</f>
        <v>0.19031106039320692</v>
      </c>
      <c r="D37">
        <f>D36/1000</f>
        <v>19.278510417831857</v>
      </c>
      <c r="E37" t="s">
        <v>49</v>
      </c>
      <c r="G37" t="s">
        <v>50</v>
      </c>
    </row>
    <row r="38" spans="1:7" x14ac:dyDescent="0.25">
      <c r="D38">
        <f>D37/1000</f>
        <v>1.9278510417831858E-2</v>
      </c>
      <c r="E38" t="s">
        <v>51</v>
      </c>
    </row>
    <row r="48" spans="1:7" ht="15.75" x14ac:dyDescent="0.25">
      <c r="A48" s="8" t="s">
        <v>52</v>
      </c>
      <c r="D48" s="3" t="s">
        <v>53</v>
      </c>
    </row>
    <row r="49" spans="1:4" x14ac:dyDescent="0.25">
      <c r="A49" t="s">
        <v>54</v>
      </c>
      <c r="B49" s="4">
        <f>D49*1.225</f>
        <v>0.39158444877937926</v>
      </c>
      <c r="C49" t="s">
        <v>55</v>
      </c>
      <c r="D49" s="9">
        <f>(B37/B24)*1.225</f>
        <v>0.31966077451377894</v>
      </c>
    </row>
    <row r="61" spans="1:4" ht="15.75" x14ac:dyDescent="0.25">
      <c r="A61" s="8" t="s">
        <v>56</v>
      </c>
    </row>
    <row r="62" spans="1:4" x14ac:dyDescent="0.25">
      <c r="A62">
        <f>331.4+0.61*B23</f>
        <v>293.06149999999997</v>
      </c>
      <c r="B62" t="s">
        <v>57</v>
      </c>
    </row>
    <row r="70" spans="1:6" ht="15.75" x14ac:dyDescent="0.25">
      <c r="A70" s="8" t="s">
        <v>58</v>
      </c>
    </row>
    <row r="71" spans="1:6" x14ac:dyDescent="0.25">
      <c r="A71" t="s">
        <v>60</v>
      </c>
      <c r="B71">
        <f>((8.14807*10^-2)*((D23^(3/2))/(D23+110.4)))*(1.7894*10^-5)</f>
        <v>1.385672170098366E-5</v>
      </c>
      <c r="C71" t="s">
        <v>61</v>
      </c>
    </row>
    <row r="72" spans="1:6" x14ac:dyDescent="0.25">
      <c r="A72" t="s">
        <v>59</v>
      </c>
      <c r="B72">
        <f>B71/(1.7894*10^-5)</f>
        <v>0.77437809885903985</v>
      </c>
    </row>
    <row r="79" spans="1:6" x14ac:dyDescent="0.25">
      <c r="A79" t="s">
        <v>62</v>
      </c>
    </row>
    <row r="80" spans="1:6" x14ac:dyDescent="0.25">
      <c r="A80" s="10" t="s">
        <v>63</v>
      </c>
      <c r="B80" s="10">
        <f>B10</f>
        <v>12000</v>
      </c>
      <c r="C80" s="10" t="s">
        <v>39</v>
      </c>
      <c r="D80" s="11" t="s">
        <v>64</v>
      </c>
      <c r="E80" s="10"/>
      <c r="F80" s="10"/>
    </row>
    <row r="81" spans="1:6" x14ac:dyDescent="0.25">
      <c r="A81" s="10" t="s">
        <v>43</v>
      </c>
      <c r="B81" s="10">
        <f>B23</f>
        <v>-62.85</v>
      </c>
      <c r="C81" s="10" t="s">
        <v>3</v>
      </c>
      <c r="D81" s="10">
        <f>15.15/B81</f>
        <v>-0.24105011933174225</v>
      </c>
      <c r="E81" s="10">
        <f>B81+273</f>
        <v>210.15</v>
      </c>
      <c r="F81" s="10" t="s">
        <v>28</v>
      </c>
    </row>
    <row r="82" spans="1:6" x14ac:dyDescent="0.25">
      <c r="A82" s="10" t="s">
        <v>45</v>
      </c>
      <c r="B82" s="12">
        <f>B36</f>
        <v>0.19031106039320692</v>
      </c>
      <c r="C82" s="10" t="s">
        <v>65</v>
      </c>
      <c r="D82" s="10">
        <f>B82/1</f>
        <v>0.19031106039320692</v>
      </c>
      <c r="E82" s="10">
        <f>D36</f>
        <v>19278.510417831858</v>
      </c>
      <c r="F82" s="10" t="s">
        <v>47</v>
      </c>
    </row>
    <row r="83" spans="1:6" x14ac:dyDescent="0.25">
      <c r="A83" s="10" t="s">
        <v>66</v>
      </c>
      <c r="B83" s="12">
        <f>B49</f>
        <v>0.39158444877937926</v>
      </c>
      <c r="C83" s="10" t="s">
        <v>67</v>
      </c>
      <c r="D83" s="10"/>
      <c r="E83" s="10"/>
      <c r="F83" s="10"/>
    </row>
    <row r="84" spans="1:6" x14ac:dyDescent="0.25">
      <c r="A84" s="10" t="s">
        <v>68</v>
      </c>
      <c r="B84" s="10">
        <f>A62</f>
        <v>293.06149999999997</v>
      </c>
      <c r="C84" s="10" t="s">
        <v>57</v>
      </c>
      <c r="D84" s="10"/>
      <c r="E84" s="10"/>
      <c r="F84" s="10"/>
    </row>
    <row r="85" spans="1:6" x14ac:dyDescent="0.25">
      <c r="A85" s="10" t="s">
        <v>60</v>
      </c>
      <c r="B85" s="10">
        <f>B71</f>
        <v>1.385672170098366E-5</v>
      </c>
      <c r="C85" s="10" t="s">
        <v>61</v>
      </c>
      <c r="D85" s="10"/>
      <c r="E85" s="10"/>
      <c r="F85" s="10"/>
    </row>
    <row r="89" spans="1:6" x14ac:dyDescent="0.25">
      <c r="A89" t="s">
        <v>69</v>
      </c>
    </row>
    <row r="97" spans="1:7" x14ac:dyDescent="0.25">
      <c r="A97" t="s">
        <v>70</v>
      </c>
      <c r="B97">
        <f>'Target-Environment Parameters'!B8</f>
        <v>0.9</v>
      </c>
      <c r="C97" t="s">
        <v>71</v>
      </c>
      <c r="D97">
        <f>B97*B84</f>
        <v>263.75534999999996</v>
      </c>
      <c r="E97" s="3" t="s">
        <v>57</v>
      </c>
      <c r="F97" s="3">
        <f>D97*3.6</f>
        <v>949.51925999999992</v>
      </c>
      <c r="G97" s="3" t="s">
        <v>72</v>
      </c>
    </row>
    <row r="98" spans="1:7" x14ac:dyDescent="0.25">
      <c r="A98" t="s">
        <v>73</v>
      </c>
      <c r="B98">
        <f>'Target-Environment Parameters'!B9</f>
        <v>12000</v>
      </c>
      <c r="C98" t="s">
        <v>74</v>
      </c>
      <c r="D98">
        <f>B98/0.304</f>
        <v>39473.68421052632</v>
      </c>
      <c r="E98" s="3" t="s">
        <v>40</v>
      </c>
      <c r="F98" s="3"/>
      <c r="G98" s="3"/>
    </row>
    <row r="99" spans="1:7" x14ac:dyDescent="0.25">
      <c r="A99" t="s">
        <v>75</v>
      </c>
      <c r="B99">
        <f>E81</f>
        <v>210.15</v>
      </c>
      <c r="C99" t="s">
        <v>28</v>
      </c>
      <c r="D99">
        <f>B99-273</f>
        <v>-62.849999999999994</v>
      </c>
      <c r="E99" s="3" t="s">
        <v>27</v>
      </c>
      <c r="F99" s="3"/>
      <c r="G99" s="3"/>
    </row>
    <row r="100" spans="1:7" x14ac:dyDescent="0.25">
      <c r="A100" t="s">
        <v>76</v>
      </c>
      <c r="B100">
        <f>B99*(1+0.2*B97^2)</f>
        <v>244.1943</v>
      </c>
      <c r="C100" t="s">
        <v>28</v>
      </c>
      <c r="D100">
        <f>B100-273</f>
        <v>-28.805700000000002</v>
      </c>
      <c r="E100" s="3" t="s">
        <v>27</v>
      </c>
      <c r="F100" s="3"/>
      <c r="G100" s="3"/>
    </row>
    <row r="101" spans="1:7" x14ac:dyDescent="0.25">
      <c r="D101">
        <f>(9/5)*D100+32</f>
        <v>-19.850260000000006</v>
      </c>
      <c r="E101" s="3" t="s">
        <v>77</v>
      </c>
      <c r="F101" s="3"/>
      <c r="G101" s="3"/>
    </row>
    <row r="102" spans="1:7" x14ac:dyDescent="0.25">
      <c r="D102">
        <f>D101-459.688</f>
        <v>-479.53825999999998</v>
      </c>
      <c r="E102" s="3" t="s">
        <v>30</v>
      </c>
      <c r="F102" s="3"/>
      <c r="G102" s="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How To Use</vt:lpstr>
      <vt:lpstr>Target-Environment Parameters</vt:lpstr>
      <vt:lpstr>Calculator</vt:lpstr>
      <vt:lpstr>Target Database</vt:lpstr>
      <vt:lpstr>Standard Atmosphere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DIMAS</dc:creator>
  <cp:lastModifiedBy>DIMAS</cp:lastModifiedBy>
  <dcterms:created xsi:type="dcterms:W3CDTF">2018-10-10T05:18:29Z</dcterms:created>
  <dcterms:modified xsi:type="dcterms:W3CDTF">2018-11-10T06:43:44Z</dcterms:modified>
</cp:coreProperties>
</file>